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udent Activities Transformation Project\Work - In Progress\Events Planning - New Processes\Balls\"/>
    </mc:Choice>
  </mc:AlternateContent>
  <workbookProtection workbookAlgorithmName="SHA-512" workbookHashValue="zryYiPd49L/GQk6fkx001IN/mOU7Eup+c1imkcWiRig03VyE1J09DE06oCreypbg4BSBmqUwK7yEXOiB2j95qw==" workbookSaltValue="Px0Djz7y5LQTShRo+ctkLQ==" workbookSpinCount="100000" lockStructure="1"/>
  <bookViews>
    <workbookView xWindow="0" yWindow="0" windowWidth="21570" windowHeight="9390" activeTab="5"/>
  </bookViews>
  <sheets>
    <sheet name="Capacity" sheetId="4" r:id="rId1"/>
    <sheet name="Sponsorships" sheetId="7" r:id="rId2"/>
    <sheet name="Costs" sheetId="3" r:id="rId3"/>
    <sheet name="Tickets" sheetId="6" r:id="rId4"/>
    <sheet name="Timings" sheetId="2" r:id="rId5"/>
    <sheet name="Breakevens" sheetId="5" r:id="rId6"/>
  </sheets>
  <externalReferences>
    <externalReference r:id="rId7"/>
  </externalReferences>
  <definedNames>
    <definedName name="EventTypes">[1]Options!$A$1:$A$7</definedName>
    <definedName name="YesNo">[1]Options!$A$10:$A$11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4" i="5"/>
  <c r="G5" i="5"/>
  <c r="G6" i="5"/>
  <c r="G7" i="5"/>
  <c r="G8" i="5"/>
  <c r="G9" i="5"/>
  <c r="G10" i="5"/>
  <c r="G11" i="5"/>
  <c r="G12" i="5"/>
  <c r="G3" i="5"/>
  <c r="G30" i="3" l="1"/>
  <c r="B30" i="3"/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B16" i="2" s="1"/>
  <c r="B15" i="2" s="1"/>
  <c r="B12" i="2" s="1"/>
  <c r="B10" i="2" s="1"/>
  <c r="D8" i="3"/>
  <c r="B4" i="3" l="1"/>
  <c r="B5" i="3" l="1"/>
  <c r="B5" i="4"/>
  <c r="B10" i="4" s="1"/>
  <c r="F15" i="5"/>
  <c r="G4" i="3"/>
  <c r="B6" i="5" s="1"/>
  <c r="B3" i="5"/>
  <c r="B12" i="7"/>
  <c r="B4" i="5" l="1"/>
  <c r="H15" i="5" s="1"/>
  <c r="B7" i="5"/>
  <c r="C5" i="6" l="1"/>
  <c r="B12" i="5"/>
  <c r="F6" i="5" s="1"/>
  <c r="H6" i="5" s="1"/>
  <c r="B17" i="2"/>
  <c r="B11" i="2"/>
  <c r="C18" i="5" l="1"/>
  <c r="F7" i="5"/>
  <c r="H7" i="5" s="1"/>
  <c r="F12" i="5"/>
  <c r="H12" i="5" s="1"/>
  <c r="F11" i="5"/>
  <c r="H11" i="5" s="1"/>
  <c r="F3" i="5"/>
  <c r="H3" i="5" s="1"/>
  <c r="F8" i="5"/>
  <c r="H8" i="5" s="1"/>
  <c r="E15" i="5"/>
  <c r="F9" i="5"/>
  <c r="H9" i="5" s="1"/>
  <c r="F4" i="5"/>
  <c r="H4" i="5" s="1"/>
  <c r="F5" i="5"/>
  <c r="H5" i="5" s="1"/>
  <c r="F10" i="5"/>
  <c r="H10" i="5" s="1"/>
  <c r="C6" i="6"/>
  <c r="B6" i="7"/>
  <c r="B17" i="6" s="1"/>
  <c r="B9" i="2"/>
  <c r="B5" i="6" l="1"/>
  <c r="B9" i="5" s="1"/>
  <c r="D6" i="7"/>
  <c r="B13" i="6" s="1"/>
  <c r="B6" i="6" s="1"/>
  <c r="B5" i="5"/>
  <c r="F5" i="6" l="1"/>
  <c r="B18" i="6"/>
  <c r="I3" i="5"/>
  <c r="J3" i="5" s="1"/>
  <c r="I5" i="5"/>
  <c r="J5" i="5" s="1"/>
  <c r="I11" i="5"/>
  <c r="J11" i="5" s="1"/>
  <c r="B18" i="5"/>
  <c r="I6" i="5"/>
  <c r="J6" i="5" s="1"/>
  <c r="I8" i="5"/>
  <c r="J8" i="5" s="1"/>
  <c r="I10" i="5"/>
  <c r="J10" i="5" s="1"/>
  <c r="I12" i="5"/>
  <c r="J12" i="5" s="1"/>
  <c r="I4" i="5"/>
  <c r="J4" i="5" s="1"/>
  <c r="I9" i="5"/>
  <c r="J9" i="5" s="1"/>
  <c r="I7" i="5"/>
  <c r="J7" i="5" s="1"/>
  <c r="F6" i="6" l="1"/>
  <c r="B10" i="5"/>
  <c r="I15" i="5" s="1"/>
  <c r="J15" i="5" s="1"/>
</calcChain>
</file>

<file path=xl/comments1.xml><?xml version="1.0" encoding="utf-8"?>
<comments xmlns="http://schemas.openxmlformats.org/spreadsheetml/2006/main">
  <authors>
    <author>Brian Wilson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Enter your total membership here - don't forget to include any Associate Members.</t>
        </r>
      </text>
    </comment>
    <comment ref="B7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Enter the maximum number of attendees the venue can accommodate here.
If you have a preferred maximum number of attendees (that's less than the room will hold) enter that figure instead.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 agreement with the venue says you will take up a specific number of spaces enter it here.
If not, leave it blank.</t>
        </r>
      </text>
    </comment>
  </commentList>
</comments>
</file>

<file path=xl/comments2.xml><?xml version="1.0" encoding="utf-8"?>
<comments xmlns="http://schemas.openxmlformats.org/spreadsheetml/2006/main">
  <authors>
    <author>Brian Wilson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Enter an amount here only if the Club/Soc is paying a fixed amount toward the Ball costs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Use this box if the Club/Soc is putting an amount of money </t>
        </r>
        <r>
          <rPr>
            <i/>
            <sz val="9"/>
            <color indexed="81"/>
            <rFont val="Tahoma"/>
            <family val="2"/>
          </rPr>
          <t>per member</t>
        </r>
        <r>
          <rPr>
            <sz val="9"/>
            <color indexed="81"/>
            <rFont val="Tahoma"/>
            <family val="2"/>
          </rPr>
          <t xml:space="preserve"> towards the Ball costs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Enter an amount here </t>
        </r>
        <r>
          <rPr>
            <i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if the Club/Soc needs to use its own money to pay a deposit ahead of ticket sales and will be recovering that money from ticket sales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Only include the element of a sponsor's money that is to be used for this event - eg if Sponsor A gave £3,500 but only £1,500 is for the Ball, insert it as £1,500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Has the money already been received from the Sponsor? (Yes/No)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Only include the element of a sponsor's money that is to be used for this event - eg if Sponsor A gave £3,500 but only £1,500 is for the Ball, insert it as £1,500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Has the money already been received from the Sponsor? (Yes/No)</t>
        </r>
      </text>
    </comment>
  </commentList>
</comments>
</file>

<file path=xl/comments3.xml><?xml version="1.0" encoding="utf-8"?>
<comments xmlns="http://schemas.openxmlformats.org/spreadsheetml/2006/main">
  <authors>
    <author>Brian Wilson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charset val="1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charset val="1"/>
          </rPr>
          <t xml:space="preserve"> and use the highest potential cost amount.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If there is a cost for cancelling enter it here.  Enter it as a total amount that covers the worst-case scenario (the highest amount you might be liable for).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These cost elements are editable (you can change "DJ" to something else, for example), and you can add new items in the empty lines.
Remember to complete all the columns - especially </t>
        </r>
        <r>
          <rPr>
            <b/>
            <sz val="9"/>
            <color indexed="81"/>
            <rFont val="Tahoma"/>
            <family val="2"/>
          </rPr>
          <t>Fixed or Per Person</t>
        </r>
        <r>
          <rPr>
            <sz val="9"/>
            <color indexed="81"/>
            <rFont val="Tahoma"/>
            <family val="2"/>
          </rPr>
          <t>.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cost figure already includes VAT enter </t>
        </r>
        <r>
          <rPr>
            <b/>
            <sz val="9"/>
            <color indexed="81"/>
            <rFont val="Tahoma"/>
            <family val="2"/>
          </rPr>
          <t>Inc</t>
        </r>
        <r>
          <rPr>
            <sz val="9"/>
            <color indexed="81"/>
            <rFont val="Tahoma"/>
            <family val="2"/>
          </rPr>
          <t xml:space="preserve">, if it doesn't, enter </t>
        </r>
        <r>
          <rPr>
            <b/>
            <sz val="9"/>
            <color indexed="81"/>
            <rFont val="Tahoma"/>
            <family val="2"/>
          </rPr>
          <t>Exc</t>
        </r>
        <r>
          <rPr>
            <sz val="9"/>
            <color indexed="81"/>
            <rFont val="Tahoma"/>
            <family val="2"/>
          </rPr>
          <t>.  The spreadsheet will calculate the inclusive total.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Costs are either </t>
        </r>
        <r>
          <rPr>
            <b/>
            <sz val="9"/>
            <color indexed="81"/>
            <rFont val="Tahoma"/>
            <family val="2"/>
          </rPr>
          <t>Per Person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.
If any costs are variable (for example a coach for 40 people or for 70 people would cost different amounts) set this to </t>
        </r>
        <r>
          <rPr>
            <b/>
            <sz val="9"/>
            <color indexed="81"/>
            <rFont val="Tahoma"/>
            <family val="2"/>
          </rPr>
          <t>Fixed</t>
        </r>
        <r>
          <rPr>
            <sz val="9"/>
            <color indexed="81"/>
            <rFont val="Tahoma"/>
            <family val="2"/>
          </rPr>
          <t xml:space="preserve"> and use the highest potential cost amount.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Student Activities:</t>
        </r>
        <r>
          <rPr>
            <sz val="9"/>
            <color indexed="81"/>
            <rFont val="Tahoma"/>
            <charset val="1"/>
          </rPr>
          <t xml:space="preserve">
Insert the name of the company or individual that will be invoicing for this item.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If there is a cost for cancelling enter it here.  Enter it as a total amount that covers the worst-case scenario (the highest amount you might be liable for).</t>
        </r>
      </text>
    </comment>
  </commentList>
</comments>
</file>

<file path=xl/comments4.xml><?xml version="1.0" encoding="utf-8"?>
<comments xmlns="http://schemas.openxmlformats.org/spreadsheetml/2006/main">
  <authors>
    <author>Brian Wilson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Enter </t>
        </r>
        <r>
          <rPr>
            <b/>
            <sz val="9"/>
            <color indexed="81"/>
            <rFont val="Tahoma"/>
            <family val="2"/>
          </rPr>
          <t>A</t>
        </r>
        <r>
          <rPr>
            <sz val="9"/>
            <color indexed="81"/>
            <rFont val="Tahoma"/>
            <family val="2"/>
          </rPr>
          <t xml:space="preserve"> to set your preferred price or </t>
        </r>
        <r>
          <rPr>
            <b/>
            <sz val="9"/>
            <color indexed="81"/>
            <rFont val="Tahoma"/>
            <family val="2"/>
          </rPr>
          <t>B</t>
        </r>
        <r>
          <rPr>
            <sz val="9"/>
            <color indexed="81"/>
            <rFont val="Tahoma"/>
            <family val="2"/>
          </rPr>
          <t xml:space="preserve"> to have the system suggest a price based on costs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Insert your chosen Member price here.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preferred Non-Member price is higher than the system's suggestion, enter it here.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If your preferred Non-Member price is higher than the system's suggestion, enter it here.</t>
        </r>
      </text>
    </comment>
  </commentList>
</comments>
</file>

<file path=xl/comments5.xml><?xml version="1.0" encoding="utf-8"?>
<comments xmlns="http://schemas.openxmlformats.org/spreadsheetml/2006/main">
  <authors>
    <author>Brian Wilson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Enter a number here, eg </t>
        </r>
        <r>
          <rPr>
            <b/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30</t>
        </r>
      </text>
    </comment>
  </commentList>
</comments>
</file>

<file path=xl/comments6.xml><?xml version="1.0" encoding="utf-8"?>
<comments xmlns="http://schemas.openxmlformats.org/spreadsheetml/2006/main">
  <authors>
    <author>Brian Wilson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Student Activities:</t>
        </r>
        <r>
          <rPr>
            <sz val="9"/>
            <color indexed="81"/>
            <rFont val="Tahoma"/>
            <family val="2"/>
          </rPr>
          <t xml:space="preserve">
Use these boxes to check on the live situation while monitoring ticket sales - enter Member sales here.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Student Activities:
</t>
        </r>
        <r>
          <rPr>
            <sz val="9"/>
            <color indexed="81"/>
            <rFont val="Tahoma"/>
            <family val="2"/>
          </rPr>
          <t>Use these boxes to check on the live situation while monitoring ticket sales - enter Non-Member sales here.</t>
        </r>
      </text>
    </comment>
  </commentList>
</comments>
</file>

<file path=xl/sharedStrings.xml><?xml version="1.0" encoding="utf-8"?>
<sst xmlns="http://schemas.openxmlformats.org/spreadsheetml/2006/main" count="141" uniqueCount="110">
  <si>
    <t>Membership</t>
  </si>
  <si>
    <t>Max attendees</t>
  </si>
  <si>
    <t>Venue max</t>
  </si>
  <si>
    <t>Max Attendance</t>
  </si>
  <si>
    <t>Members</t>
  </si>
  <si>
    <t>Non-Members</t>
  </si>
  <si>
    <t>Fixed</t>
  </si>
  <si>
    <t>Fixed Costs</t>
  </si>
  <si>
    <t>Room Hire</t>
  </si>
  <si>
    <t>Security</t>
  </si>
  <si>
    <t>DJ</t>
  </si>
  <si>
    <t>Photographer</t>
  </si>
  <si>
    <t>Dinner</t>
  </si>
  <si>
    <t>Sponsorships</t>
  </si>
  <si>
    <t>Event Timings Planner</t>
  </si>
  <si>
    <t>Event Type</t>
  </si>
  <si>
    <t>Target Event Date</t>
  </si>
  <si>
    <t>Tickets on sale for (days)</t>
  </si>
  <si>
    <t>Action</t>
  </si>
  <si>
    <t>Date</t>
  </si>
  <si>
    <t>Venue Identified and Provisionally Booked</t>
  </si>
  <si>
    <t>External Speaker Forms submitted</t>
  </si>
  <si>
    <t>Ticketing Form submitted</t>
  </si>
  <si>
    <t>Debrief</t>
  </si>
  <si>
    <t>Item</t>
  </si>
  <si>
    <t>Cost</t>
  </si>
  <si>
    <t>Supplier</t>
  </si>
  <si>
    <t>Per Person Costs</t>
  </si>
  <si>
    <t>Cancellation Fees</t>
  </si>
  <si>
    <t>Max Capacity</t>
  </si>
  <si>
    <t>Sales</t>
  </si>
  <si>
    <t>Income</t>
  </si>
  <si>
    <t>Costs</t>
  </si>
  <si>
    <t>P/L</t>
  </si>
  <si>
    <t>Current Sales</t>
  </si>
  <si>
    <t>Ticket Prices</t>
  </si>
  <si>
    <t>Breakeven</t>
  </si>
  <si>
    <t>Decorations</t>
  </si>
  <si>
    <t>Tickets</t>
  </si>
  <si>
    <t>Member</t>
  </si>
  <si>
    <t>Non-Member</t>
  </si>
  <si>
    <t>Balls Planner - Capacity</t>
  </si>
  <si>
    <t>Balls Planner - Costs</t>
  </si>
  <si>
    <t>Transport</t>
  </si>
  <si>
    <t>Balls Planner - Tickets</t>
  </si>
  <si>
    <t>Payment Due Date</t>
  </si>
  <si>
    <t>Cancellation charge</t>
  </si>
  <si>
    <t>Balls Planner - Sponsorship &amp; Soc/Club Subsidy</t>
  </si>
  <si>
    <t>Note: Sponsorship and subsidy can only be used for Members - the more funding used here, the greater the price difference between Members and Non-Members tickets</t>
  </si>
  <si>
    <t>Sponsorship</t>
  </si>
  <si>
    <t>Sponsor</t>
  </si>
  <si>
    <t>Amount</t>
  </si>
  <si>
    <t>Total</t>
  </si>
  <si>
    <t>Soc/Club Subsidy (Lump Sum)</t>
  </si>
  <si>
    <t>Soc/Club Subsidy (per Member)</t>
  </si>
  <si>
    <t>(Total potential attendance, including 20% Non-Members)</t>
  </si>
  <si>
    <t>Type</t>
  </si>
  <si>
    <t>Price</t>
  </si>
  <si>
    <t>Quantity</t>
  </si>
  <si>
    <t>Total Fixed Costs</t>
  </si>
  <si>
    <t>Total Cancellation Costs</t>
  </si>
  <si>
    <t>Per Member</t>
  </si>
  <si>
    <t>Pricing Method (A or B)</t>
  </si>
  <si>
    <t>Method A: Preferred Price</t>
  </si>
  <si>
    <t>Member price</t>
  </si>
  <si>
    <t>Non-Member price</t>
  </si>
  <si>
    <t>Method B: Price for Budget</t>
  </si>
  <si>
    <t>Max Budget Range</t>
  </si>
  <si>
    <t>From</t>
  </si>
  <si>
    <t>To</t>
  </si>
  <si>
    <t>Entertainment</t>
  </si>
  <si>
    <t>Ball</t>
  </si>
  <si>
    <t>Venue - Confirm Booking &amp; Pay Deposit</t>
  </si>
  <si>
    <t>Note: Enter event date</t>
  </si>
  <si>
    <t>Note: Set date venue requires Confirmation and deposit</t>
  </si>
  <si>
    <t>Note: If you are planning on using a fixed amount of Soc/Club funds to support the Ball enter the total amount here</t>
  </si>
  <si>
    <t>Note: If you are planning on using an amount of Soc/Club funds per Member to support the Ball enter the amount here</t>
  </si>
  <si>
    <t>Note: enter your intended Member price here</t>
  </si>
  <si>
    <t>Note: enter your total membership here</t>
  </si>
  <si>
    <t>Note: enter the venue's capacity here</t>
  </si>
  <si>
    <t>Total Per Person Costs</t>
  </si>
  <si>
    <t>Per Person</t>
  </si>
  <si>
    <t>Fixed or 
Per Person</t>
  </si>
  <si>
    <t>Drinks package</t>
  </si>
  <si>
    <t>Cost inc VAT</t>
  </si>
  <si>
    <t>Received?</t>
  </si>
  <si>
    <t>Due date</t>
  </si>
  <si>
    <t>A</t>
  </si>
  <si>
    <t>Meet with Coordinator at SU</t>
  </si>
  <si>
    <t>Note: If you are bringing anyone onto campus to speak or present who isn't a Warwick student or staff member you must submit an External Speaker form</t>
  </si>
  <si>
    <t>Override NM Price</t>
  </si>
  <si>
    <t>Note: This is the minimum price for Non-Members - if you want to increase this price enter an override price</t>
  </si>
  <si>
    <t>SU Coordinator approves plan</t>
  </si>
  <si>
    <t>Tickets on sale</t>
  </si>
  <si>
    <t>VAT - Inc or Exc</t>
  </si>
  <si>
    <t>Venue minimum</t>
  </si>
  <si>
    <t>Note: if the venue insists on a minimum number of attendees, enter it here</t>
  </si>
  <si>
    <t>You only need enter information in the blue cells</t>
  </si>
  <si>
    <t>Min Attendance</t>
  </si>
  <si>
    <t>Soc/Club Deposit "Loan" (from existing funds)</t>
  </si>
  <si>
    <t>Note: This amount will be recovered as a Cost against the Ball</t>
  </si>
  <si>
    <t>Deposit "Loan"</t>
  </si>
  <si>
    <t>Inc</t>
  </si>
  <si>
    <t>Club/Soc funds</t>
  </si>
  <si>
    <t>Note: Enter the number of days you want tickets to be on sale for</t>
  </si>
  <si>
    <t>SU Online ticket charge</t>
  </si>
  <si>
    <t>Venue - Pay Balance</t>
  </si>
  <si>
    <t>Exc</t>
  </si>
  <si>
    <t>Publicity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</si>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</sst>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&quot;£&quot;#,##0"/>
    <numFmt numFmtId="166" formatCode="_-[$£-809]* #,##0.00_-;\-[$£-809]* #,##0.00_-;_-[$£-809]* &quot;-&quot;??_-;_-@_-"/>
  </numFmts>
  <fonts count="2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11"/>
      <color theme="0" tint="-0.34998626667073579"/>
      <name val="Arial"/>
      <family val="2"/>
    </font>
    <font>
      <sz val="11"/>
      <color rgb="FFFF0000"/>
      <name val="Arial"/>
      <family val="2"/>
    </font>
    <font>
      <b/>
      <sz val="8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4" fontId="2" fillId="0" borderId="0" xfId="1" applyNumberFormat="1" applyAlignment="1">
      <alignment horizontal="center"/>
    </xf>
    <xf numFmtId="0" fontId="2" fillId="0" borderId="0" xfId="1"/>
    <xf numFmtId="0" fontId="2" fillId="0" borderId="0" xfId="1" applyFont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6" fillId="0" borderId="6" xfId="0" applyFont="1" applyBorder="1"/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166" fontId="0" fillId="0" borderId="0" xfId="0" applyNumberFormat="1"/>
    <xf numFmtId="166" fontId="1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1" applyFont="1"/>
    <xf numFmtId="0" fontId="6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0" fontId="13" fillId="0" borderId="0" xfId="1" applyFont="1"/>
    <xf numFmtId="164" fontId="11" fillId="0" borderId="0" xfId="1" applyNumberFormat="1" applyFont="1" applyAlignment="1">
      <alignment horizontal="center"/>
    </xf>
    <xf numFmtId="0" fontId="11" fillId="0" borderId="0" xfId="1" applyFont="1"/>
    <xf numFmtId="0" fontId="6" fillId="0" borderId="0" xfId="1" applyFont="1"/>
    <xf numFmtId="0" fontId="11" fillId="0" borderId="0" xfId="1" applyFont="1" applyAlignment="1">
      <alignment horizontal="right"/>
    </xf>
    <xf numFmtId="1" fontId="1" fillId="0" borderId="0" xfId="1" applyNumberFormat="1" applyFont="1" applyBorder="1" applyAlignment="1">
      <alignment horizontal="center"/>
    </xf>
    <xf numFmtId="0" fontId="12" fillId="0" borderId="0" xfId="1" applyFont="1"/>
    <xf numFmtId="0" fontId="7" fillId="0" borderId="0" xfId="1" applyFont="1"/>
    <xf numFmtId="164" fontId="7" fillId="0" borderId="0" xfId="1" applyNumberFormat="1" applyFont="1" applyAlignment="1">
      <alignment horizontal="center"/>
    </xf>
    <xf numFmtId="0" fontId="14" fillId="0" borderId="0" xfId="2" applyFont="1"/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9" fontId="0" fillId="0" borderId="7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1" applyFont="1"/>
    <xf numFmtId="0" fontId="15" fillId="0" borderId="0" xfId="0" applyFont="1" applyProtection="1">
      <protection locked="0"/>
    </xf>
    <xf numFmtId="1" fontId="15" fillId="0" borderId="0" xfId="0" applyNumberFormat="1" applyFont="1" applyProtection="1">
      <protection locked="0"/>
    </xf>
    <xf numFmtId="9" fontId="15" fillId="0" borderId="0" xfId="0" applyNumberFormat="1" applyFont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166" fontId="0" fillId="3" borderId="10" xfId="0" applyNumberFormat="1" applyFill="1" applyBorder="1" applyProtection="1">
      <protection locked="0"/>
    </xf>
    <xf numFmtId="166" fontId="0" fillId="3" borderId="11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6" fontId="0" fillId="3" borderId="13" xfId="0" applyNumberFormat="1" applyFill="1" applyBorder="1" applyProtection="1">
      <protection locked="0"/>
    </xf>
    <xf numFmtId="166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6" fontId="0" fillId="3" borderId="16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166" fontId="0" fillId="0" borderId="10" xfId="0" applyNumberFormat="1" applyBorder="1" applyProtection="1"/>
    <xf numFmtId="166" fontId="0" fillId="0" borderId="13" xfId="0" applyNumberFormat="1" applyBorder="1" applyProtection="1"/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14" fontId="0" fillId="3" borderId="1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  <xf numFmtId="1" fontId="1" fillId="3" borderId="1" xfId="1" applyNumberFormat="1" applyFont="1" applyFill="1" applyBorder="1" applyAlignment="1" applyProtection="1">
      <alignment horizontal="center"/>
      <protection locked="0"/>
    </xf>
    <xf numFmtId="164" fontId="11" fillId="3" borderId="1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4" fontId="0" fillId="3" borderId="16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/>
    <xf numFmtId="166" fontId="0" fillId="0" borderId="16" xfId="0" applyNumberFormat="1" applyFill="1" applyBorder="1" applyProtection="1"/>
    <xf numFmtId="0" fontId="0" fillId="0" borderId="16" xfId="0" applyFill="1" applyBorder="1" applyProtection="1"/>
    <xf numFmtId="14" fontId="0" fillId="0" borderId="16" xfId="0" applyNumberFormat="1" applyFill="1" applyBorder="1" applyAlignment="1" applyProtection="1">
      <alignment horizontal="center"/>
    </xf>
    <xf numFmtId="166" fontId="0" fillId="0" borderId="17" xfId="0" applyNumberFormat="1" applyFill="1" applyBorder="1" applyAlignment="1" applyProtection="1">
      <alignment horizontal="center"/>
      <protection locked="0"/>
    </xf>
    <xf numFmtId="0" fontId="0" fillId="0" borderId="0" xfId="1" applyFont="1" applyAlignment="1">
      <alignment horizontal="right"/>
    </xf>
    <xf numFmtId="0" fontId="12" fillId="0" borderId="2" xfId="0" applyFont="1" applyBorder="1" applyAlignment="1">
      <alignment horizontal="left" wrapText="1"/>
    </xf>
    <xf numFmtId="0" fontId="0" fillId="3" borderId="12" xfId="0" applyFill="1" applyBorder="1" applyProtection="1"/>
    <xf numFmtId="166" fontId="0" fillId="3" borderId="13" xfId="0" applyNumberFormat="1" applyFill="1" applyBorder="1" applyProtection="1"/>
    <xf numFmtId="0" fontId="0" fillId="3" borderId="13" xfId="0" applyFill="1" applyBorder="1" applyProtection="1"/>
    <xf numFmtId="0" fontId="0" fillId="0" borderId="8" xfId="0" applyNumberFormat="1" applyBorder="1" applyAlignment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3" borderId="20" xfId="0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ordinators\Brian\Societies\Event%20Planning%20Auto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vent"/>
      <sheetName val="Options"/>
    </sheetNames>
    <sheetDataSet>
      <sheetData sheetId="0"/>
      <sheetData sheetId="1"/>
      <sheetData sheetId="2">
        <row r="1">
          <cell r="A1" t="str">
            <v>Ball</v>
          </cell>
        </row>
        <row r="2">
          <cell r="A2" t="str">
            <v>Conference</v>
          </cell>
        </row>
        <row r="3">
          <cell r="A3" t="str">
            <v>Forum</v>
          </cell>
        </row>
        <row r="4">
          <cell r="A4" t="str">
            <v>Theatre</v>
          </cell>
        </row>
        <row r="5">
          <cell r="A5" t="str">
            <v>Trip/Tour</v>
          </cell>
        </row>
        <row r="6">
          <cell r="A6" t="str">
            <v>Union Event</v>
          </cell>
        </row>
        <row r="7">
          <cell r="A7" t="str">
            <v>Other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warwicksu.com/societies/activities-and-planning/events/event-ticketing/" TargetMode="External"/><Relationship Id="rId1" Type="http://schemas.openxmlformats.org/officeDocument/2006/relationships/hyperlink" Target="https://www.warwicksu.com/societies/activities-and-planning/extspeakers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B7" sqref="B7"/>
    </sheetView>
  </sheetViews>
  <sheetFormatPr defaultColWidth="8.875" defaultRowHeight="14.25" x14ac:dyDescent="0.2"/>
  <cols>
    <col min="1" max="1" width="13.875" bestFit="1" customWidth="1"/>
    <col min="2" max="2" width="9.875" bestFit="1" customWidth="1"/>
    <col min="5" max="5" width="13.125" bestFit="1" customWidth="1"/>
  </cols>
  <sheetData>
    <row r="1" spans="1:8" ht="15" thickBot="1" x14ac:dyDescent="0.25">
      <c r="A1" s="81" t="s">
        <v>97</v>
      </c>
      <c r="B1" s="82"/>
      <c r="C1" s="82"/>
      <c r="D1" s="82"/>
      <c r="E1" s="82"/>
      <c r="F1" s="82"/>
      <c r="G1" s="82"/>
      <c r="H1" s="83"/>
    </row>
    <row r="2" spans="1:8" ht="15" x14ac:dyDescent="0.25">
      <c r="A2" s="1" t="s">
        <v>41</v>
      </c>
    </row>
    <row r="3" spans="1:8" ht="15" thickBot="1" x14ac:dyDescent="0.25"/>
    <row r="4" spans="1:8" ht="15" thickBot="1" x14ac:dyDescent="0.25">
      <c r="A4" t="s">
        <v>0</v>
      </c>
      <c r="B4" s="45"/>
      <c r="C4" s="23" t="s">
        <v>78</v>
      </c>
    </row>
    <row r="5" spans="1:8" x14ac:dyDescent="0.2">
      <c r="A5" t="s">
        <v>1</v>
      </c>
      <c r="B5">
        <f>INT(B4*1.25)</f>
        <v>0</v>
      </c>
      <c r="C5" s="8" t="s">
        <v>55</v>
      </c>
    </row>
    <row r="6" spans="1:8" ht="15" thickBot="1" x14ac:dyDescent="0.25"/>
    <row r="7" spans="1:8" ht="15" thickBot="1" x14ac:dyDescent="0.25">
      <c r="A7" t="s">
        <v>2</v>
      </c>
      <c r="B7" s="45"/>
      <c r="C7" s="23" t="s">
        <v>79</v>
      </c>
    </row>
    <row r="8" spans="1:8" ht="15" thickBot="1" x14ac:dyDescent="0.25">
      <c r="A8" t="s">
        <v>95</v>
      </c>
      <c r="B8" s="45"/>
      <c r="C8" s="23" t="s">
        <v>96</v>
      </c>
    </row>
    <row r="10" spans="1:8" ht="15" x14ac:dyDescent="0.25">
      <c r="A10" t="s">
        <v>3</v>
      </c>
      <c r="B10" s="1">
        <f>IF(B5&gt;B7,B7,B5)</f>
        <v>0</v>
      </c>
    </row>
  </sheetData>
  <sheetProtection algorithmName="SHA-512" hashValue="I0l72XCMXJqn6Adzia4tIXAl39SmLuOV6uXpV2iGdcFW9iXDiMw3niJ69DAxfUpFxPjipagmasJjnJZxdCkaMw==" saltValue="KmKJDXDhGYxydcGhuj+0XQ==" spinCount="100000" sheet="1" selectLockedCells="1"/>
  <mergeCells count="1">
    <mergeCell ref="A1:H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8"/>
  <sheetViews>
    <sheetView zoomScale="150" zoomScaleNormal="150" workbookViewId="0">
      <selection activeCell="B10" sqref="B10"/>
    </sheetView>
  </sheetViews>
  <sheetFormatPr defaultColWidth="11" defaultRowHeight="14.25" x14ac:dyDescent="0.2"/>
  <cols>
    <col min="1" max="1" width="43.625" customWidth="1"/>
    <col min="5" max="5" width="11" customWidth="1"/>
  </cols>
  <sheetData>
    <row r="1" spans="1:16384" ht="15" thickBot="1" x14ac:dyDescent="0.25">
      <c r="A1" s="81" t="s">
        <v>97</v>
      </c>
      <c r="B1" s="82"/>
      <c r="C1" s="82"/>
      <c r="D1" s="82"/>
      <c r="E1" s="82"/>
      <c r="F1" s="82"/>
      <c r="G1" s="82"/>
      <c r="H1" s="83"/>
    </row>
    <row r="2" spans="1:16384" ht="15" x14ac:dyDescent="0.25">
      <c r="A2" s="1" t="s">
        <v>47</v>
      </c>
    </row>
    <row r="4" spans="1:16384" x14ac:dyDescent="0.2">
      <c r="A4" s="23" t="s">
        <v>48</v>
      </c>
    </row>
    <row r="5" spans="1:16384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ht="15" x14ac:dyDescent="0.25">
      <c r="A6" s="1" t="s">
        <v>52</v>
      </c>
      <c r="B6" s="18">
        <f>B12+B8+(B9*Tickets!C5)</f>
        <v>0</v>
      </c>
      <c r="C6" s="19" t="s">
        <v>61</v>
      </c>
      <c r="D6" s="18" t="e">
        <f>B6/Tickets!C5</f>
        <v>#DIV/0!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 ht="15" thickBot="1" x14ac:dyDescent="0.25"/>
    <row r="8" spans="1:16384" ht="15" thickBot="1" x14ac:dyDescent="0.25">
      <c r="A8" t="s">
        <v>53</v>
      </c>
      <c r="B8" s="54">
        <v>0</v>
      </c>
      <c r="C8" s="23" t="s">
        <v>75</v>
      </c>
    </row>
    <row r="9" spans="1:16384" ht="15" thickBot="1" x14ac:dyDescent="0.25">
      <c r="A9" t="s">
        <v>54</v>
      </c>
      <c r="B9" s="54">
        <v>0</v>
      </c>
      <c r="C9" s="23" t="s">
        <v>76</v>
      </c>
    </row>
    <row r="10" spans="1:16384" ht="15" thickBot="1" x14ac:dyDescent="0.25">
      <c r="A10" t="s">
        <v>99</v>
      </c>
      <c r="B10" s="54">
        <v>0</v>
      </c>
      <c r="C10" s="23" t="s">
        <v>100</v>
      </c>
    </row>
    <row r="12" spans="1:16384" x14ac:dyDescent="0.2">
      <c r="A12" t="s">
        <v>49</v>
      </c>
      <c r="B12" s="17">
        <f>SUM(B15:B28)</f>
        <v>0</v>
      </c>
    </row>
    <row r="13" spans="1:16384" x14ac:dyDescent="0.2">
      <c r="B13" s="17"/>
    </row>
    <row r="14" spans="1:16384" s="8" customFormat="1" ht="12.75" thickBot="1" x14ac:dyDescent="0.25">
      <c r="A14" s="8" t="s">
        <v>50</v>
      </c>
      <c r="B14" s="22" t="s">
        <v>51</v>
      </c>
      <c r="C14" s="22" t="s">
        <v>86</v>
      </c>
      <c r="D14" s="22" t="s">
        <v>85</v>
      </c>
    </row>
    <row r="15" spans="1:16384" x14ac:dyDescent="0.2">
      <c r="A15" s="46"/>
      <c r="B15" s="47"/>
      <c r="C15" s="59"/>
      <c r="D15" s="67"/>
      <c r="E15" s="76"/>
    </row>
    <row r="16" spans="1:16384" x14ac:dyDescent="0.2">
      <c r="A16" s="49"/>
      <c r="B16" s="50"/>
      <c r="C16" s="60"/>
      <c r="D16" s="68"/>
      <c r="E16" s="76"/>
    </row>
    <row r="17" spans="1:4" x14ac:dyDescent="0.2">
      <c r="A17" s="49"/>
      <c r="B17" s="50"/>
      <c r="C17" s="60"/>
      <c r="D17" s="68"/>
    </row>
    <row r="18" spans="1:4" x14ac:dyDescent="0.2">
      <c r="A18" s="49"/>
      <c r="B18" s="50"/>
      <c r="C18" s="60"/>
      <c r="D18" s="68"/>
    </row>
    <row r="19" spans="1:4" x14ac:dyDescent="0.2">
      <c r="A19" s="49"/>
      <c r="B19" s="50"/>
      <c r="C19" s="60"/>
      <c r="D19" s="68"/>
    </row>
    <row r="20" spans="1:4" x14ac:dyDescent="0.2">
      <c r="A20" s="49"/>
      <c r="B20" s="50"/>
      <c r="C20" s="60"/>
      <c r="D20" s="68"/>
    </row>
    <row r="21" spans="1:4" x14ac:dyDescent="0.2">
      <c r="A21" s="49"/>
      <c r="B21" s="50"/>
      <c r="C21" s="60"/>
      <c r="D21" s="68"/>
    </row>
    <row r="22" spans="1:4" x14ac:dyDescent="0.2">
      <c r="A22" s="49"/>
      <c r="B22" s="50"/>
      <c r="C22" s="60"/>
      <c r="D22" s="68"/>
    </row>
    <row r="23" spans="1:4" x14ac:dyDescent="0.2">
      <c r="A23" s="49"/>
      <c r="B23" s="50"/>
      <c r="C23" s="60"/>
      <c r="D23" s="68"/>
    </row>
    <row r="24" spans="1:4" x14ac:dyDescent="0.2">
      <c r="A24" s="49"/>
      <c r="B24" s="50"/>
      <c r="C24" s="60"/>
      <c r="D24" s="68"/>
    </row>
    <row r="25" spans="1:4" x14ac:dyDescent="0.2">
      <c r="A25" s="49"/>
      <c r="B25" s="50"/>
      <c r="C25" s="60"/>
      <c r="D25" s="68"/>
    </row>
    <row r="26" spans="1:4" x14ac:dyDescent="0.2">
      <c r="A26" s="49"/>
      <c r="B26" s="50"/>
      <c r="C26" s="60"/>
      <c r="D26" s="68"/>
    </row>
    <row r="27" spans="1:4" x14ac:dyDescent="0.2">
      <c r="A27" s="49"/>
      <c r="B27" s="50"/>
      <c r="C27" s="60"/>
      <c r="D27" s="68"/>
    </row>
    <row r="28" spans="1:4" ht="15" thickBot="1" x14ac:dyDescent="0.25">
      <c r="A28" s="52"/>
      <c r="B28" s="53"/>
      <c r="C28" s="66"/>
      <c r="D28" s="69"/>
    </row>
  </sheetData>
  <sheetProtection algorithmName="SHA-512" hashValue="Unc/5HacMQYrR3/qAIwHABgjZ0qSTNSCTWA0O/Ezf8sU/edPSyGU7u0omcOsG2P27xge5+roYP/W0TVxg041rQ==" saltValue="IawnZ+JUEW6TdqSelTgvpA==" spinCount="100000" sheet="1" selectLockedCells="1"/>
  <mergeCells count="1">
    <mergeCell ref="A1:H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zoomScale="150" zoomScaleNormal="150" workbookViewId="0">
      <selection activeCell="B8" sqref="B8"/>
    </sheetView>
  </sheetViews>
  <sheetFormatPr defaultColWidth="8.875" defaultRowHeight="14.25" x14ac:dyDescent="0.2"/>
  <cols>
    <col min="1" max="1" width="20.125" bestFit="1" customWidth="1"/>
    <col min="2" max="2" width="10.625" bestFit="1" customWidth="1"/>
    <col min="3" max="3" width="7.375" customWidth="1"/>
    <col min="4" max="4" width="10.125" style="17" bestFit="1" customWidth="1"/>
    <col min="5" max="5" width="10.125" bestFit="1" customWidth="1"/>
    <col min="6" max="6" width="35.875" customWidth="1"/>
    <col min="7" max="7" width="13" style="7" customWidth="1"/>
    <col min="8" max="8" width="10.125" style="7" bestFit="1" customWidth="1"/>
  </cols>
  <sheetData>
    <row r="1" spans="1:8" ht="15" thickBot="1" x14ac:dyDescent="0.25">
      <c r="A1" s="81" t="s">
        <v>97</v>
      </c>
      <c r="B1" s="82"/>
      <c r="C1" s="82"/>
      <c r="D1" s="82"/>
      <c r="E1" s="82"/>
      <c r="F1" s="82"/>
      <c r="G1" s="82"/>
      <c r="H1" s="83"/>
    </row>
    <row r="2" spans="1:8" ht="15.75" x14ac:dyDescent="0.25">
      <c r="A2" s="5" t="s">
        <v>42</v>
      </c>
    </row>
    <row r="3" spans="1:8" ht="15.75" x14ac:dyDescent="0.25">
      <c r="A3" s="5"/>
    </row>
    <row r="4" spans="1:8" ht="15" x14ac:dyDescent="0.2">
      <c r="A4" s="16" t="s">
        <v>59</v>
      </c>
      <c r="B4" s="17">
        <f>SUMIF(E$8:E$30,"Fixed",D$8:D$30)</f>
        <v>0</v>
      </c>
      <c r="C4" s="17"/>
      <c r="F4" t="s">
        <v>60</v>
      </c>
      <c r="G4" s="35">
        <f>SUM(H8:H30)</f>
        <v>0</v>
      </c>
    </row>
    <row r="5" spans="1:8" ht="15" x14ac:dyDescent="0.2">
      <c r="A5" s="16" t="s">
        <v>80</v>
      </c>
      <c r="B5" s="17">
        <f>SUMIF(E$8:E$30,"Per Person",D$8:D$30)</f>
        <v>0.1</v>
      </c>
      <c r="C5" s="17"/>
    </row>
    <row r="7" spans="1:8" s="6" customFormat="1" ht="23.25" thickBot="1" x14ac:dyDescent="0.25">
      <c r="A7" s="6" t="s">
        <v>24</v>
      </c>
      <c r="B7" s="6" t="s">
        <v>25</v>
      </c>
      <c r="C7" s="6" t="s">
        <v>94</v>
      </c>
      <c r="D7" s="37" t="s">
        <v>84</v>
      </c>
      <c r="E7" s="6" t="s">
        <v>82</v>
      </c>
      <c r="F7" s="6" t="s">
        <v>26</v>
      </c>
      <c r="G7" s="36" t="s">
        <v>45</v>
      </c>
      <c r="H7" s="36" t="s">
        <v>46</v>
      </c>
    </row>
    <row r="8" spans="1:8" x14ac:dyDescent="0.2">
      <c r="A8" s="46" t="s">
        <v>12</v>
      </c>
      <c r="B8" s="47"/>
      <c r="C8" s="57" t="s">
        <v>102</v>
      </c>
      <c r="D8" s="55">
        <f>IF(LEFT(C8,1)="E",B8*1.2,B8)</f>
        <v>0</v>
      </c>
      <c r="E8" s="57" t="s">
        <v>81</v>
      </c>
      <c r="F8" s="57"/>
      <c r="G8" s="59"/>
      <c r="H8" s="48"/>
    </row>
    <row r="9" spans="1:8" x14ac:dyDescent="0.2">
      <c r="A9" s="49" t="s">
        <v>83</v>
      </c>
      <c r="B9" s="50"/>
      <c r="C9" s="50"/>
      <c r="D9" s="56">
        <f t="shared" ref="D9:D30" si="0">IF(LEFT(C9,1)="E",B9*1.2,B9)</f>
        <v>0</v>
      </c>
      <c r="E9" s="58" t="s">
        <v>81</v>
      </c>
      <c r="F9" s="58"/>
      <c r="G9" s="60"/>
      <c r="H9" s="51"/>
    </row>
    <row r="10" spans="1:8" x14ac:dyDescent="0.2">
      <c r="A10" s="77" t="s">
        <v>105</v>
      </c>
      <c r="B10" s="78">
        <v>0.1</v>
      </c>
      <c r="C10" s="79" t="s">
        <v>102</v>
      </c>
      <c r="D10" s="56">
        <f t="shared" si="0"/>
        <v>0.1</v>
      </c>
      <c r="E10" s="79" t="s">
        <v>81</v>
      </c>
      <c r="F10" s="58"/>
      <c r="G10" s="60"/>
      <c r="H10" s="51"/>
    </row>
    <row r="11" spans="1:8" x14ac:dyDescent="0.2">
      <c r="A11" s="49"/>
      <c r="B11" s="50"/>
      <c r="C11" s="50"/>
      <c r="D11" s="56">
        <f t="shared" si="0"/>
        <v>0</v>
      </c>
      <c r="E11" s="58"/>
      <c r="F11" s="58"/>
      <c r="G11" s="60"/>
      <c r="H11" s="51"/>
    </row>
    <row r="12" spans="1:8" x14ac:dyDescent="0.2">
      <c r="A12" s="49" t="s">
        <v>8</v>
      </c>
      <c r="B12" s="50"/>
      <c r="C12" s="50"/>
      <c r="D12" s="56">
        <f t="shared" si="0"/>
        <v>0</v>
      </c>
      <c r="E12" s="58" t="s">
        <v>6</v>
      </c>
      <c r="F12" s="58"/>
      <c r="G12" s="60"/>
      <c r="H12" s="51"/>
    </row>
    <row r="13" spans="1:8" x14ac:dyDescent="0.2">
      <c r="A13" s="49" t="s">
        <v>9</v>
      </c>
      <c r="B13" s="50"/>
      <c r="C13" s="50" t="s">
        <v>107</v>
      </c>
      <c r="D13" s="56">
        <f t="shared" si="0"/>
        <v>0</v>
      </c>
      <c r="E13" s="58" t="s">
        <v>6</v>
      </c>
      <c r="F13" s="58"/>
      <c r="G13" s="60"/>
      <c r="H13" s="51"/>
    </row>
    <row r="14" spans="1:8" x14ac:dyDescent="0.2">
      <c r="A14" s="49" t="s">
        <v>10</v>
      </c>
      <c r="B14" s="50"/>
      <c r="C14" s="50" t="s">
        <v>107</v>
      </c>
      <c r="D14" s="56">
        <f t="shared" si="0"/>
        <v>0</v>
      </c>
      <c r="E14" s="58" t="s">
        <v>6</v>
      </c>
      <c r="F14" s="58"/>
      <c r="G14" s="60"/>
      <c r="H14" s="51"/>
    </row>
    <row r="15" spans="1:8" x14ac:dyDescent="0.2">
      <c r="A15" s="49" t="s">
        <v>11</v>
      </c>
      <c r="B15" s="50"/>
      <c r="C15" s="50"/>
      <c r="D15" s="56">
        <f t="shared" si="0"/>
        <v>0</v>
      </c>
      <c r="E15" s="58" t="s">
        <v>6</v>
      </c>
      <c r="F15" s="58"/>
      <c r="G15" s="60"/>
      <c r="H15" s="51"/>
    </row>
    <row r="16" spans="1:8" x14ac:dyDescent="0.2">
      <c r="A16" s="49" t="s">
        <v>37</v>
      </c>
      <c r="B16" s="50"/>
      <c r="C16" s="50" t="s">
        <v>107</v>
      </c>
      <c r="D16" s="56">
        <f t="shared" si="0"/>
        <v>0</v>
      </c>
      <c r="E16" s="58" t="s">
        <v>6</v>
      </c>
      <c r="F16" s="58"/>
      <c r="G16" s="60"/>
      <c r="H16" s="51"/>
    </row>
    <row r="17" spans="1:8" x14ac:dyDescent="0.2">
      <c r="A17" s="49" t="s">
        <v>43</v>
      </c>
      <c r="B17" s="50"/>
      <c r="C17" s="50" t="s">
        <v>107</v>
      </c>
      <c r="D17" s="56">
        <f t="shared" si="0"/>
        <v>0</v>
      </c>
      <c r="E17" s="58" t="s">
        <v>6</v>
      </c>
      <c r="F17" s="58"/>
      <c r="G17" s="60"/>
      <c r="H17" s="51"/>
    </row>
    <row r="18" spans="1:8" x14ac:dyDescent="0.2">
      <c r="A18" s="49" t="s">
        <v>70</v>
      </c>
      <c r="B18" s="50"/>
      <c r="C18" s="50" t="s">
        <v>107</v>
      </c>
      <c r="D18" s="56">
        <f t="shared" si="0"/>
        <v>0</v>
      </c>
      <c r="E18" s="58" t="s">
        <v>6</v>
      </c>
      <c r="F18" s="58"/>
      <c r="G18" s="60"/>
      <c r="H18" s="51"/>
    </row>
    <row r="19" spans="1:8" x14ac:dyDescent="0.2">
      <c r="A19" s="49"/>
      <c r="B19" s="50"/>
      <c r="C19" s="58"/>
      <c r="D19" s="56">
        <f t="shared" si="0"/>
        <v>0</v>
      </c>
      <c r="E19" s="58"/>
      <c r="F19" s="58"/>
      <c r="G19" s="60"/>
      <c r="H19" s="51"/>
    </row>
    <row r="20" spans="1:8" x14ac:dyDescent="0.2">
      <c r="A20" s="49" t="s">
        <v>38</v>
      </c>
      <c r="B20" s="50"/>
      <c r="C20" s="58" t="s">
        <v>107</v>
      </c>
      <c r="D20" s="56">
        <f t="shared" si="0"/>
        <v>0</v>
      </c>
      <c r="E20" s="58" t="s">
        <v>6</v>
      </c>
      <c r="F20" s="58"/>
      <c r="G20" s="60"/>
      <c r="H20" s="51"/>
    </row>
    <row r="21" spans="1:8" x14ac:dyDescent="0.2">
      <c r="A21" s="49" t="s">
        <v>108</v>
      </c>
      <c r="B21" s="50"/>
      <c r="C21" s="58" t="s">
        <v>107</v>
      </c>
      <c r="D21" s="56">
        <f t="shared" si="0"/>
        <v>0</v>
      </c>
      <c r="E21" s="58" t="s">
        <v>6</v>
      </c>
      <c r="F21" s="58"/>
      <c r="G21" s="60"/>
      <c r="H21" s="51"/>
    </row>
    <row r="22" spans="1:8" x14ac:dyDescent="0.2">
      <c r="A22" s="49" t="s">
        <v>109</v>
      </c>
      <c r="B22" s="50"/>
      <c r="C22" s="58" t="s">
        <v>102</v>
      </c>
      <c r="D22" s="56">
        <f t="shared" si="0"/>
        <v>0</v>
      </c>
      <c r="E22" s="58" t="s">
        <v>6</v>
      </c>
      <c r="F22" s="58"/>
      <c r="G22" s="60"/>
      <c r="H22" s="51"/>
    </row>
    <row r="23" spans="1:8" x14ac:dyDescent="0.2">
      <c r="A23" s="49"/>
      <c r="B23" s="50"/>
      <c r="C23" s="58"/>
      <c r="D23" s="56">
        <f t="shared" si="0"/>
        <v>0</v>
      </c>
      <c r="E23" s="58"/>
      <c r="F23" s="58"/>
      <c r="G23" s="60"/>
      <c r="H23" s="51"/>
    </row>
    <row r="24" spans="1:8" x14ac:dyDescent="0.2">
      <c r="A24" s="49"/>
      <c r="B24" s="50"/>
      <c r="C24" s="50"/>
      <c r="D24" s="56">
        <f t="shared" si="0"/>
        <v>0</v>
      </c>
      <c r="E24" s="58"/>
      <c r="F24" s="58"/>
      <c r="G24" s="60"/>
      <c r="H24" s="51"/>
    </row>
    <row r="25" spans="1:8" x14ac:dyDescent="0.2">
      <c r="A25" s="49"/>
      <c r="B25" s="50"/>
      <c r="C25" s="50"/>
      <c r="D25" s="56">
        <f t="shared" si="0"/>
        <v>0</v>
      </c>
      <c r="E25" s="58"/>
      <c r="F25" s="58"/>
      <c r="G25" s="60"/>
      <c r="H25" s="51"/>
    </row>
    <row r="26" spans="1:8" x14ac:dyDescent="0.2">
      <c r="A26" s="49"/>
      <c r="B26" s="50"/>
      <c r="C26" s="50"/>
      <c r="D26" s="56">
        <f t="shared" si="0"/>
        <v>0</v>
      </c>
      <c r="E26" s="58"/>
      <c r="F26" s="58"/>
      <c r="G26" s="60"/>
      <c r="H26" s="51"/>
    </row>
    <row r="27" spans="1:8" x14ac:dyDescent="0.2">
      <c r="A27" s="49"/>
      <c r="B27" s="50"/>
      <c r="C27" s="50"/>
      <c r="D27" s="56">
        <f t="shared" si="0"/>
        <v>0</v>
      </c>
      <c r="E27" s="58"/>
      <c r="F27" s="58"/>
      <c r="G27" s="60"/>
      <c r="H27" s="51"/>
    </row>
    <row r="28" spans="1:8" x14ac:dyDescent="0.2">
      <c r="A28" s="49"/>
      <c r="B28" s="50"/>
      <c r="C28" s="50"/>
      <c r="D28" s="56">
        <f t="shared" si="0"/>
        <v>0</v>
      </c>
      <c r="E28" s="58"/>
      <c r="F28" s="58"/>
      <c r="G28" s="60"/>
      <c r="H28" s="51"/>
    </row>
    <row r="29" spans="1:8" x14ac:dyDescent="0.2">
      <c r="A29" s="49"/>
      <c r="B29" s="50"/>
      <c r="C29" s="50"/>
      <c r="D29" s="56">
        <f t="shared" si="0"/>
        <v>0</v>
      </c>
      <c r="E29" s="58"/>
      <c r="F29" s="58"/>
      <c r="G29" s="60"/>
      <c r="H29" s="51"/>
    </row>
    <row r="30" spans="1:8" ht="15" thickBot="1" x14ac:dyDescent="0.25">
      <c r="A30" s="70" t="s">
        <v>101</v>
      </c>
      <c r="B30" s="71">
        <f>Sponsorships!B10</f>
        <v>0</v>
      </c>
      <c r="C30" s="71" t="s">
        <v>102</v>
      </c>
      <c r="D30" s="71">
        <f t="shared" si="0"/>
        <v>0</v>
      </c>
      <c r="E30" s="72" t="s">
        <v>6</v>
      </c>
      <c r="F30" s="72" t="s">
        <v>103</v>
      </c>
      <c r="G30" s="73">
        <f>Timings!B5</f>
        <v>0</v>
      </c>
      <c r="H30" s="74"/>
    </row>
  </sheetData>
  <sheetProtection algorithmName="SHA-512" hashValue="3MVSyg+TzF+PKL3hyKgkg+672B+AYTMzcpHrBaq7ihBEPYFKqpVIldSwblBJSVflO+Cqf3pAu0ZYsPfCyAabmA==" saltValue="5fDAzwxHBv6Z4BYPowdCWg==" spinCount="100000" sheet="1" selectLockedCells="1"/>
  <mergeCells count="1">
    <mergeCell ref="A1:H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zoomScale="150" zoomScaleNormal="150" workbookViewId="0">
      <selection activeCell="B12" sqref="B12"/>
    </sheetView>
  </sheetViews>
  <sheetFormatPr defaultColWidth="11" defaultRowHeight="14.25" x14ac:dyDescent="0.2"/>
  <cols>
    <col min="1" max="1" width="21" bestFit="1" customWidth="1"/>
    <col min="6" max="6" width="11.625" bestFit="1" customWidth="1"/>
  </cols>
  <sheetData>
    <row r="1" spans="1:8" ht="15" thickBot="1" x14ac:dyDescent="0.25">
      <c r="A1" s="81" t="s">
        <v>97</v>
      </c>
      <c r="B1" s="82"/>
      <c r="C1" s="82"/>
      <c r="D1" s="82"/>
      <c r="E1" s="82"/>
      <c r="F1" s="82"/>
      <c r="G1" s="82"/>
      <c r="H1" s="83"/>
    </row>
    <row r="2" spans="1:8" ht="15" x14ac:dyDescent="0.25">
      <c r="A2" s="1" t="s">
        <v>44</v>
      </c>
    </row>
    <row r="4" spans="1:8" s="24" customFormat="1" ht="12" x14ac:dyDescent="0.2">
      <c r="A4" s="24" t="s">
        <v>56</v>
      </c>
      <c r="B4" s="24" t="s">
        <v>57</v>
      </c>
      <c r="C4" s="24" t="s">
        <v>58</v>
      </c>
      <c r="E4" s="24" t="s">
        <v>67</v>
      </c>
    </row>
    <row r="5" spans="1:8" x14ac:dyDescent="0.2">
      <c r="A5" t="s">
        <v>4</v>
      </c>
      <c r="B5" s="17">
        <f>IF(B9="A",B12,B17)</f>
        <v>0</v>
      </c>
      <c r="C5" s="65">
        <f>Capacity!B10</f>
        <v>0</v>
      </c>
      <c r="E5" s="19" t="s">
        <v>68</v>
      </c>
      <c r="F5" s="17">
        <f>(C5*B5)+Sponsorships!B6</f>
        <v>0</v>
      </c>
    </row>
    <row r="6" spans="1:8" x14ac:dyDescent="0.2">
      <c r="A6" t="s">
        <v>5</v>
      </c>
      <c r="B6" s="17" t="e">
        <f>IF(B9="A",IF(B14&gt;B13,B14,B13),IF(B19&gt;B18,B19,B18))</f>
        <v>#DIV/0!</v>
      </c>
      <c r="C6" s="65">
        <f>INT(C5*0.2)</f>
        <v>0</v>
      </c>
      <c r="E6" s="19" t="s">
        <v>69</v>
      </c>
      <c r="F6" s="17" t="e">
        <f>(C6*B6)+((C5-C6)*B5)+Sponsorships!B6</f>
        <v>#DIV/0!</v>
      </c>
    </row>
    <row r="8" spans="1:8" ht="15" thickBot="1" x14ac:dyDescent="0.25"/>
    <row r="9" spans="1:8" ht="15" thickBot="1" x14ac:dyDescent="0.25">
      <c r="A9" t="s">
        <v>62</v>
      </c>
      <c r="B9" s="61" t="s">
        <v>87</v>
      </c>
    </row>
    <row r="11" spans="1:8" ht="15.75" thickBot="1" x14ac:dyDescent="0.3">
      <c r="A11" s="1" t="s">
        <v>63</v>
      </c>
    </row>
    <row r="12" spans="1:8" ht="15" thickBot="1" x14ac:dyDescent="0.25">
      <c r="A12" t="s">
        <v>64</v>
      </c>
      <c r="B12" s="62"/>
      <c r="C12" s="23" t="s">
        <v>77</v>
      </c>
    </row>
    <row r="13" spans="1:8" ht="15" thickBot="1" x14ac:dyDescent="0.25">
      <c r="A13" t="s">
        <v>65</v>
      </c>
      <c r="B13" s="17" t="e">
        <f>IF((B12+(B12*0.05)+Sponsorships!$D$6)-INT(B12+(B12*0.05)+Sponsorships!$D$6)&gt;0.5,INT(B12+(B12*0.05)+Sponsorships!$D$6)+1,INT(B12+(B12*0.05)+Sponsorships!$D$6)+0.5)</f>
        <v>#DIV/0!</v>
      </c>
      <c r="C13" s="23" t="s">
        <v>91</v>
      </c>
    </row>
    <row r="14" spans="1:8" ht="15" thickBot="1" x14ac:dyDescent="0.25">
      <c r="A14" t="s">
        <v>90</v>
      </c>
      <c r="B14" s="62"/>
    </row>
    <row r="16" spans="1:8" ht="15" x14ac:dyDescent="0.25">
      <c r="A16" s="1" t="s">
        <v>66</v>
      </c>
    </row>
    <row r="17" spans="1:2" x14ac:dyDescent="0.2">
      <c r="A17" t="s">
        <v>64</v>
      </c>
      <c r="B17" s="17" t="e">
        <f>INT(((Costs!$B$4+(Costs!$B$5*Tickets!$C$5))-Sponsorships!B6)/Tickets!C5)+1</f>
        <v>#DIV/0!</v>
      </c>
    </row>
    <row r="18" spans="1:2" ht="15" thickBot="1" x14ac:dyDescent="0.25">
      <c r="A18" t="s">
        <v>65</v>
      </c>
      <c r="B18" s="17" t="e">
        <f>IF((B17+(B17*0.05)+Sponsorships!$D$6)-INT(B17+(B17*0.05)+Sponsorships!$D$6)&gt;0.5,INT(B17+(B17*0.05)+Sponsorships!$D$6)+1,INT(B17+(B17*0.05)+Sponsorships!$D$6)+0.5)</f>
        <v>#DIV/0!</v>
      </c>
    </row>
    <row r="19" spans="1:2" ht="15" thickBot="1" x14ac:dyDescent="0.25">
      <c r="A19" t="s">
        <v>90</v>
      </c>
      <c r="B19" s="62"/>
    </row>
  </sheetData>
  <sheetProtection algorithmName="SHA-512" hashValue="3D8aOqBaXbdStxtJjPN/OAUuFHOAWfnEumJ1Bmr0pShfcSOfvEgRixZ9aLEcMAx9ksK9xgqs5gu5SJ5XbXBOIQ==" saltValue="lIoSM7dXDFV5IxeWHntRWw==" spinCount="100000" sheet="1" selectLockedCells="1"/>
  <mergeCells count="1">
    <mergeCell ref="A1:H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zoomScale="150" zoomScaleNormal="150" workbookViewId="0">
      <pane ySplit="8" topLeftCell="A9" activePane="bottomLeft" state="frozen"/>
      <selection pane="bottomLeft" activeCell="B14" sqref="B14"/>
    </sheetView>
  </sheetViews>
  <sheetFormatPr defaultColWidth="9" defaultRowHeight="15" x14ac:dyDescent="0.25"/>
  <cols>
    <col min="1" max="1" width="34.875" style="3" bestFit="1" customWidth="1"/>
    <col min="2" max="2" width="10.5" style="2" customWidth="1"/>
    <col min="3" max="3" width="8" style="3" hidden="1" customWidth="1"/>
    <col min="4" max="4" width="2.5" style="3" customWidth="1"/>
    <col min="5" max="5" width="9" style="21"/>
    <col min="6" max="16384" width="9" style="3"/>
  </cols>
  <sheetData>
    <row r="1" spans="1:8" ht="15.75" thickBot="1" x14ac:dyDescent="0.3">
      <c r="A1" s="81" t="s">
        <v>97</v>
      </c>
      <c r="B1" s="82"/>
      <c r="C1" s="82"/>
      <c r="D1" s="82"/>
      <c r="E1" s="82"/>
      <c r="F1" s="82"/>
      <c r="G1" s="82"/>
      <c r="H1" s="83"/>
    </row>
    <row r="2" spans="1:8" ht="18" x14ac:dyDescent="0.25">
      <c r="A2" s="25" t="s">
        <v>14</v>
      </c>
      <c r="B2" s="26"/>
      <c r="C2" s="27"/>
      <c r="D2" s="27"/>
      <c r="E2" s="28"/>
    </row>
    <row r="3" spans="1:8" x14ac:dyDescent="0.25">
      <c r="A3" s="27"/>
      <c r="B3" s="26"/>
      <c r="C3" s="27"/>
      <c r="D3" s="27"/>
      <c r="E3" s="28"/>
    </row>
    <row r="4" spans="1:8" ht="15.75" thickBot="1" x14ac:dyDescent="0.3">
      <c r="A4" s="29" t="s">
        <v>15</v>
      </c>
      <c r="B4" s="30" t="s">
        <v>71</v>
      </c>
      <c r="C4" s="27"/>
      <c r="D4" s="27"/>
      <c r="E4" s="28"/>
    </row>
    <row r="5" spans="1:8" ht="15.75" thickBot="1" x14ac:dyDescent="0.3">
      <c r="A5" s="29" t="s">
        <v>16</v>
      </c>
      <c r="B5" s="40"/>
      <c r="C5" s="27"/>
      <c r="D5" s="27"/>
      <c r="E5" s="31" t="s">
        <v>73</v>
      </c>
    </row>
    <row r="6" spans="1:8" ht="15.75" thickBot="1" x14ac:dyDescent="0.3">
      <c r="A6" s="75" t="s">
        <v>17</v>
      </c>
      <c r="B6" s="63"/>
      <c r="C6" s="27"/>
      <c r="D6" s="27"/>
      <c r="E6" s="31" t="s">
        <v>104</v>
      </c>
    </row>
    <row r="7" spans="1:8" x14ac:dyDescent="0.25">
      <c r="A7" s="27"/>
      <c r="B7" s="26"/>
      <c r="C7" s="27"/>
      <c r="D7" s="27"/>
      <c r="E7" s="28"/>
    </row>
    <row r="8" spans="1:8" x14ac:dyDescent="0.25">
      <c r="A8" s="32" t="s">
        <v>18</v>
      </c>
      <c r="B8" s="33" t="s">
        <v>19</v>
      </c>
      <c r="C8" s="27"/>
      <c r="D8" s="27"/>
      <c r="E8" s="28"/>
    </row>
    <row r="9" spans="1:8" x14ac:dyDescent="0.25">
      <c r="A9" s="27" t="s">
        <v>20</v>
      </c>
      <c r="B9" s="26" t="e">
        <f>B10-C9</f>
        <v>#NUM!</v>
      </c>
      <c r="C9" s="27">
        <v>7</v>
      </c>
      <c r="D9" s="27"/>
      <c r="E9" s="28"/>
    </row>
    <row r="10" spans="1:8" x14ac:dyDescent="0.25">
      <c r="A10" t="s">
        <v>88</v>
      </c>
      <c r="B10" s="26" t="e">
        <f>B12-C10</f>
        <v>#NUM!</v>
      </c>
      <c r="C10" s="27">
        <v>14</v>
      </c>
      <c r="D10" s="27"/>
      <c r="E10" s="28"/>
    </row>
    <row r="11" spans="1:8" x14ac:dyDescent="0.25">
      <c r="A11" s="34" t="s">
        <v>21</v>
      </c>
      <c r="B11" s="26" t="e">
        <f>IF(WEEKDAY(B$5-C11,2)=7,B$5-C11-2,IF(WEEKDAY(B$5-C11,2)=6,B$5-C11-1,B$5-C11))</f>
        <v>#NUM!</v>
      </c>
      <c r="C11" s="27">
        <v>21</v>
      </c>
      <c r="D11" s="27"/>
      <c r="E11" s="31" t="s">
        <v>89</v>
      </c>
    </row>
    <row r="12" spans="1:8" ht="15.75" thickBot="1" x14ac:dyDescent="0.3">
      <c r="A12" s="41" t="s">
        <v>92</v>
      </c>
      <c r="B12" s="26" t="e">
        <f>B15-C12</f>
        <v>#NUM!</v>
      </c>
      <c r="C12" s="27">
        <v>7</v>
      </c>
      <c r="D12" s="27"/>
      <c r="E12" s="28"/>
    </row>
    <row r="13" spans="1:8" ht="15.75" thickBot="1" x14ac:dyDescent="0.3">
      <c r="A13" s="27" t="s">
        <v>72</v>
      </c>
      <c r="B13" s="64"/>
      <c r="C13" s="27"/>
      <c r="D13" s="27"/>
      <c r="E13" s="31" t="s">
        <v>74</v>
      </c>
    </row>
    <row r="14" spans="1:8" ht="15.75" thickBot="1" x14ac:dyDescent="0.3">
      <c r="A14" s="41" t="s">
        <v>106</v>
      </c>
      <c r="B14" s="64"/>
      <c r="C14" s="27"/>
      <c r="D14" s="27"/>
      <c r="E14" s="31"/>
    </row>
    <row r="15" spans="1:8" x14ac:dyDescent="0.25">
      <c r="A15" s="34" t="s">
        <v>22</v>
      </c>
      <c r="B15" s="26" t="e">
        <f>IF(WEEKDAY(B$16-C15,2)=7,B$16-C15-2,IF(WEEKDAY(B$16-C15,2)=6,B$16-C15-1,B$16-C15))</f>
        <v>#NUM!</v>
      </c>
      <c r="C15" s="27">
        <v>5</v>
      </c>
      <c r="D15" s="27"/>
      <c r="E15" s="28"/>
    </row>
    <row r="16" spans="1:8" x14ac:dyDescent="0.25">
      <c r="A16" s="41" t="s">
        <v>93</v>
      </c>
      <c r="B16" s="26">
        <f>IF(Costs!D30&gt;0,Timings!B14-Timings!B6-1,B13-B6-1)</f>
        <v>-1</v>
      </c>
      <c r="C16" s="27"/>
      <c r="D16" s="27"/>
      <c r="E16" s="28"/>
    </row>
    <row r="17" spans="1:5" x14ac:dyDescent="0.25">
      <c r="A17" s="27" t="s">
        <v>23</v>
      </c>
      <c r="B17" s="26">
        <f>IF(WEEKDAY(B$5+C17,2)=7,B$5+C17+1,IF(WEEKDAY(B$5+C17,2)=6,B$5+C17+2,B$5+C17))</f>
        <v>3</v>
      </c>
      <c r="C17" s="27">
        <v>3</v>
      </c>
      <c r="D17" s="27"/>
      <c r="E17" s="28"/>
    </row>
    <row r="19" spans="1:5" x14ac:dyDescent="0.25">
      <c r="A19" s="4"/>
    </row>
  </sheetData>
  <sheetProtection algorithmName="SHA-512" hashValue="YreyepbT6N9NojooNs0AFz27VdaGGYTG7qPqVWfuhlrSfWDmqkBSEDcWIxNhjWD/42wPxttpiRTVz3ew5PjL4w==" saltValue="bgoZBCZcmWDA/hz54jWvhg==" spinCount="100000" sheet="1" objects="1" scenarios="1"/>
  <mergeCells count="1">
    <mergeCell ref="A1:H1"/>
  </mergeCells>
  <hyperlinks>
    <hyperlink ref="A11" r:id="rId1"/>
    <hyperlink ref="A15" r:id="rId2"/>
  </hyperlinks>
  <pageMargins left="0.7" right="0.7" top="0.75" bottom="0.75" header="0.3" footer="0.3"/>
  <pageSetup paperSize="9" orientation="portrait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tabSelected="1" zoomScale="150" zoomScaleNormal="150" workbookViewId="0">
      <selection activeCell="F17" sqref="F17"/>
    </sheetView>
  </sheetViews>
  <sheetFormatPr defaultColWidth="8.875" defaultRowHeight="14.25" x14ac:dyDescent="0.2"/>
  <cols>
    <col min="1" max="1" width="15.625" bestFit="1" customWidth="1"/>
    <col min="2" max="2" width="11.125" bestFit="1" customWidth="1"/>
    <col min="5" max="5" width="11.25" style="7" customWidth="1"/>
    <col min="6" max="6" width="9" style="7"/>
    <col min="7" max="7" width="9" style="7" customWidth="1"/>
    <col min="8" max="9" width="9" style="7"/>
    <col min="10" max="10" width="10.625" style="8" customWidth="1"/>
  </cols>
  <sheetData>
    <row r="1" spans="1:10" ht="15" thickBot="1" x14ac:dyDescent="0.25"/>
    <row r="2" spans="1:10" ht="15" thickBot="1" x14ac:dyDescent="0.25">
      <c r="F2" s="13" t="s">
        <v>30</v>
      </c>
      <c r="G2" s="13" t="s">
        <v>31</v>
      </c>
      <c r="H2" s="13" t="s">
        <v>32</v>
      </c>
      <c r="I2" s="13" t="s">
        <v>33</v>
      </c>
    </row>
    <row r="3" spans="1:10" ht="15" thickBot="1" x14ac:dyDescent="0.25">
      <c r="A3" t="s">
        <v>7</v>
      </c>
      <c r="B3" s="17">
        <f>Costs!B4</f>
        <v>0</v>
      </c>
      <c r="E3" s="9">
        <v>1</v>
      </c>
      <c r="F3" s="10">
        <f t="shared" ref="F3:F12" si="0">INT($B$12*E3)</f>
        <v>0</v>
      </c>
      <c r="G3" s="11">
        <f>$B$5+(F3*$B$9)+Sponsorships!$B$10</f>
        <v>0</v>
      </c>
      <c r="H3" s="11">
        <f t="shared" ref="H3:H11" si="1">IF($B$7&gt;(F3*$B$4),$B$7+$B$3,$B$3+($B$4*F3))</f>
        <v>0</v>
      </c>
      <c r="I3" s="11">
        <f>G3-H3</f>
        <v>0</v>
      </c>
      <c r="J3" s="12" t="str">
        <f>IF(I3&gt;-1,"Go ahead",IF((I3*-1)&gt;$B$6,"Cancel","Loss-making"))</f>
        <v>Go ahead</v>
      </c>
    </row>
    <row r="4" spans="1:10" ht="15" thickBot="1" x14ac:dyDescent="0.25">
      <c r="A4" t="s">
        <v>27</v>
      </c>
      <c r="B4" s="17">
        <f>Costs!B5</f>
        <v>0.1</v>
      </c>
      <c r="E4" s="9">
        <v>0.9</v>
      </c>
      <c r="F4" s="10">
        <f t="shared" si="0"/>
        <v>0</v>
      </c>
      <c r="G4" s="11">
        <f>$B$5+(F4*$B$9)+Sponsorships!$B$10</f>
        <v>0</v>
      </c>
      <c r="H4" s="11">
        <f t="shared" si="1"/>
        <v>0</v>
      </c>
      <c r="I4" s="11">
        <f t="shared" ref="I4:I12" si="2">G4-H4</f>
        <v>0</v>
      </c>
      <c r="J4" s="12" t="str">
        <f t="shared" ref="J4:J12" si="3">IF(I4&gt;-1,"Go ahead",IF((I4*-1)&gt;$B$6,"Cancel","Loss-making"))</f>
        <v>Go ahead</v>
      </c>
    </row>
    <row r="5" spans="1:10" ht="15" thickBot="1" x14ac:dyDescent="0.25">
      <c r="A5" t="s">
        <v>13</v>
      </c>
      <c r="B5" s="17">
        <f>Sponsorships!B6</f>
        <v>0</v>
      </c>
      <c r="E5" s="9">
        <v>0.8</v>
      </c>
      <c r="F5" s="10">
        <f t="shared" si="0"/>
        <v>0</v>
      </c>
      <c r="G5" s="11">
        <f>$B$5+(F5*$B$9)+Sponsorships!$B$10</f>
        <v>0</v>
      </c>
      <c r="H5" s="11">
        <f t="shared" si="1"/>
        <v>0</v>
      </c>
      <c r="I5" s="11">
        <f t="shared" si="2"/>
        <v>0</v>
      </c>
      <c r="J5" s="12" t="str">
        <f t="shared" si="3"/>
        <v>Go ahead</v>
      </c>
    </row>
    <row r="6" spans="1:10" ht="15" thickBot="1" x14ac:dyDescent="0.25">
      <c r="A6" t="s">
        <v>28</v>
      </c>
      <c r="B6" s="17">
        <f>Costs!G4</f>
        <v>0</v>
      </c>
      <c r="E6" s="9">
        <v>0.7</v>
      </c>
      <c r="F6" s="10">
        <f t="shared" si="0"/>
        <v>0</v>
      </c>
      <c r="G6" s="11">
        <f>$B$5+(F6*$B$9)+Sponsorships!$B$10</f>
        <v>0</v>
      </c>
      <c r="H6" s="11">
        <f t="shared" si="1"/>
        <v>0</v>
      </c>
      <c r="I6" s="11">
        <f t="shared" si="2"/>
        <v>0</v>
      </c>
      <c r="J6" s="12" t="str">
        <f t="shared" si="3"/>
        <v>Go ahead</v>
      </c>
    </row>
    <row r="7" spans="1:10" ht="15" thickBot="1" x14ac:dyDescent="0.25">
      <c r="A7" t="s">
        <v>98</v>
      </c>
      <c r="B7" s="17">
        <f>Capacity!B8*Costs!B5</f>
        <v>0</v>
      </c>
      <c r="E7" s="9">
        <v>0.6</v>
      </c>
      <c r="F7" s="10">
        <f t="shared" si="0"/>
        <v>0</v>
      </c>
      <c r="G7" s="11">
        <f>$B$5+(F7*$B$9)+Sponsorships!$B$10</f>
        <v>0</v>
      </c>
      <c r="H7" s="11">
        <f t="shared" si="1"/>
        <v>0</v>
      </c>
      <c r="I7" s="11">
        <f t="shared" si="2"/>
        <v>0</v>
      </c>
      <c r="J7" s="12" t="str">
        <f t="shared" si="3"/>
        <v>Go ahead</v>
      </c>
    </row>
    <row r="8" spans="1:10" ht="15" thickBot="1" x14ac:dyDescent="0.25">
      <c r="E8" s="9">
        <v>0.5</v>
      </c>
      <c r="F8" s="10">
        <f t="shared" si="0"/>
        <v>0</v>
      </c>
      <c r="G8" s="11">
        <f>$B$5+(F8*$B$9)+Sponsorships!$B$10</f>
        <v>0</v>
      </c>
      <c r="H8" s="11">
        <f t="shared" si="1"/>
        <v>0</v>
      </c>
      <c r="I8" s="11">
        <f t="shared" si="2"/>
        <v>0</v>
      </c>
      <c r="J8" s="12" t="str">
        <f t="shared" si="3"/>
        <v>Go ahead</v>
      </c>
    </row>
    <row r="9" spans="1:10" ht="15" thickBot="1" x14ac:dyDescent="0.25">
      <c r="A9" t="s">
        <v>35</v>
      </c>
      <c r="B9" s="17">
        <f>Tickets!B5</f>
        <v>0</v>
      </c>
      <c r="C9" s="15" t="s">
        <v>39</v>
      </c>
      <c r="E9" s="9">
        <v>0.4</v>
      </c>
      <c r="F9" s="10">
        <f t="shared" si="0"/>
        <v>0</v>
      </c>
      <c r="G9" s="11">
        <f>$B$5+(F9*$B$9)+Sponsorships!$B$10</f>
        <v>0</v>
      </c>
      <c r="H9" s="11">
        <f t="shared" si="1"/>
        <v>0</v>
      </c>
      <c r="I9" s="11">
        <f t="shared" si="2"/>
        <v>0</v>
      </c>
      <c r="J9" s="12" t="str">
        <f t="shared" si="3"/>
        <v>Go ahead</v>
      </c>
    </row>
    <row r="10" spans="1:10" ht="15" thickBot="1" x14ac:dyDescent="0.25">
      <c r="B10" s="17" t="e">
        <f>Tickets!B6</f>
        <v>#DIV/0!</v>
      </c>
      <c r="C10" s="15" t="s">
        <v>40</v>
      </c>
      <c r="E10" s="9">
        <v>0.3</v>
      </c>
      <c r="F10" s="10">
        <f t="shared" si="0"/>
        <v>0</v>
      </c>
      <c r="G10" s="11">
        <f>$B$5+(F10*$B$9)+Sponsorships!$B$10</f>
        <v>0</v>
      </c>
      <c r="H10" s="11">
        <f t="shared" si="1"/>
        <v>0</v>
      </c>
      <c r="I10" s="11">
        <f t="shared" si="2"/>
        <v>0</v>
      </c>
      <c r="J10" s="12" t="str">
        <f t="shared" si="3"/>
        <v>Go ahead</v>
      </c>
    </row>
    <row r="11" spans="1:10" ht="15" thickBot="1" x14ac:dyDescent="0.25">
      <c r="E11" s="9">
        <v>0.2</v>
      </c>
      <c r="F11" s="10">
        <f t="shared" si="0"/>
        <v>0</v>
      </c>
      <c r="G11" s="11">
        <f>$B$5+(F11*$B$9)+Sponsorships!$B$10</f>
        <v>0</v>
      </c>
      <c r="H11" s="11">
        <f t="shared" si="1"/>
        <v>0</v>
      </c>
      <c r="I11" s="11">
        <f t="shared" si="2"/>
        <v>0</v>
      </c>
      <c r="J11" s="12" t="str">
        <f t="shared" si="3"/>
        <v>Go ahead</v>
      </c>
    </row>
    <row r="12" spans="1:10" ht="15" thickBot="1" x14ac:dyDescent="0.25">
      <c r="A12" t="s">
        <v>29</v>
      </c>
      <c r="B12">
        <f>Capacity!B10</f>
        <v>0</v>
      </c>
      <c r="E12" s="9">
        <v>0.1</v>
      </c>
      <c r="F12" s="10">
        <f t="shared" si="0"/>
        <v>0</v>
      </c>
      <c r="G12" s="11">
        <f>$B$5+(F12*$B$9)+Sponsorships!$B$10</f>
        <v>0</v>
      </c>
      <c r="H12" s="11">
        <f>IF($B$7&gt;(F12*$B$4),$B$7+$B$3,$B$3+($B$4*F12))</f>
        <v>0</v>
      </c>
      <c r="I12" s="11">
        <f t="shared" si="2"/>
        <v>0</v>
      </c>
      <c r="J12" s="12" t="str">
        <f t="shared" si="3"/>
        <v>Go ahead</v>
      </c>
    </row>
    <row r="14" spans="1:10" ht="15" thickBot="1" x14ac:dyDescent="0.25">
      <c r="E14" s="14" t="s">
        <v>34</v>
      </c>
    </row>
    <row r="15" spans="1:10" ht="15" thickBot="1" x14ac:dyDescent="0.25">
      <c r="E15" s="38" t="e">
        <f>F15/B12</f>
        <v>#DIV/0!</v>
      </c>
      <c r="F15" s="39">
        <f>F17+F18</f>
        <v>0</v>
      </c>
      <c r="G15" s="80" t="e">
        <f>B5+(F17*B9)+(F18*B10)+Sponsorships!B10</f>
        <v>#DIV/0!</v>
      </c>
      <c r="H15" s="10">
        <f>B3+(F15*B4)</f>
        <v>0</v>
      </c>
      <c r="I15" s="10" t="e">
        <f>G15-H15</f>
        <v>#DIV/0!</v>
      </c>
      <c r="J15" s="12" t="e">
        <f t="shared" ref="J15" si="4">IF(I15&gt;-1,"Go ahead",IF((I15*-1)&gt;$B$6,"Cancel","Loss-making"))</f>
        <v>#DIV/0!</v>
      </c>
    </row>
    <row r="16" spans="1:10" ht="15" thickBot="1" x14ac:dyDescent="0.25"/>
    <row r="17" spans="1:6" ht="15" thickBot="1" x14ac:dyDescent="0.25">
      <c r="A17" s="42" t="s">
        <v>36</v>
      </c>
      <c r="B17" s="43">
        <v>275.86206896551693</v>
      </c>
      <c r="C17" s="42" t="s">
        <v>38</v>
      </c>
      <c r="E17" s="20" t="s">
        <v>4</v>
      </c>
      <c r="F17" s="61"/>
    </row>
    <row r="18" spans="1:6" ht="15" thickBot="1" x14ac:dyDescent="0.25">
      <c r="A18" s="42"/>
      <c r="B18" s="42">
        <f>(B3+(B17*B4))-(B5+(B17*B9))</f>
        <v>27.586206896551694</v>
      </c>
      <c r="C18" s="44" t="e">
        <f>B17/B12</f>
        <v>#DIV/0!</v>
      </c>
      <c r="E18" s="20" t="s">
        <v>5</v>
      </c>
      <c r="F18" s="61"/>
    </row>
  </sheetData>
  <sheetProtection algorithmName="SHA-512" hashValue="9D3jobBp7TDnLI3Q+X0hENvCrN9/bNZSq0hyAPv1TWsSP+xaVMb/lYTTjfY7vmjpw+D1hu0//Tp88Co0RYHpsw==" saltValue="GuCR9JO0scUfMAibdKtt4g==" spinCount="100000" sheet="1" select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</vt:lpstr>
      <vt:lpstr>Sponsorships</vt:lpstr>
      <vt:lpstr>Costs</vt:lpstr>
      <vt:lpstr>Tickets</vt:lpstr>
      <vt:lpstr>Timings</vt:lpstr>
      <vt:lpstr>Breakevens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Wilson</dc:creator>
  <cp:lastModifiedBy>Brian Wilson</cp:lastModifiedBy>
  <dcterms:created xsi:type="dcterms:W3CDTF">2018-06-18T09:57:10Z</dcterms:created>
  <dcterms:modified xsi:type="dcterms:W3CDTF">2019-10-30T10:26:16Z</dcterms:modified>
</cp:coreProperties>
</file>